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Fall 2018\"/>
    </mc:Choice>
  </mc:AlternateContent>
  <bookViews>
    <workbookView xWindow="0" yWindow="0" windowWidth="20310" windowHeight="7590"/>
  </bookViews>
  <sheets>
    <sheet name="Sheet 1" sheetId="1" r:id="rId1"/>
    <sheet name="Chk" sheetId="3" r:id="rId2"/>
  </sheets>
  <definedNames>
    <definedName name="_xlnm.Print_Area" localSheetId="0">'Sheet 1'!$A$1:$L$49</definedName>
  </definedNames>
  <calcPr calcId="162913"/>
</workbook>
</file>

<file path=xl/calcChain.xml><?xml version="1.0" encoding="utf-8"?>
<calcChain xmlns="http://schemas.openxmlformats.org/spreadsheetml/2006/main">
  <c r="H34" i="1" l="1"/>
  <c r="B38" i="1"/>
  <c r="I12" i="1"/>
  <c r="H12" i="1"/>
  <c r="I13" i="1"/>
  <c r="H13" i="1"/>
  <c r="I20" i="1"/>
  <c r="H20" i="1"/>
  <c r="I7" i="1"/>
  <c r="H7" i="1"/>
  <c r="I40" i="1"/>
  <c r="I38" i="1"/>
  <c r="H40" i="1"/>
  <c r="H38" i="1"/>
  <c r="I34" i="1"/>
  <c r="I32" i="1"/>
  <c r="H32" i="1"/>
  <c r="C38" i="1"/>
  <c r="C37" i="1"/>
  <c r="B37" i="1"/>
  <c r="C32" i="1"/>
  <c r="B32" i="1"/>
  <c r="H41" i="1" l="1"/>
  <c r="C19" i="1"/>
  <c r="C7" i="1"/>
  <c r="C6" i="1"/>
  <c r="B19" i="1"/>
  <c r="B7" i="1"/>
  <c r="B6" i="1"/>
  <c r="I24" i="1" l="1"/>
  <c r="J35" i="1" l="1"/>
  <c r="K35" i="1" s="1"/>
  <c r="J39" i="1"/>
  <c r="K39" i="1" s="1"/>
  <c r="J41" i="1"/>
  <c r="K41" i="1" s="1"/>
  <c r="J33" i="1"/>
  <c r="K33" i="1" s="1"/>
  <c r="D40" i="1" l="1"/>
  <c r="E40" i="1" s="1"/>
  <c r="C24" i="1" l="1"/>
  <c r="D22" i="1" l="1"/>
  <c r="E22" i="1" s="1"/>
  <c r="D23" i="1" l="1"/>
  <c r="E23" i="1" s="1"/>
  <c r="B24" i="1"/>
  <c r="J48" i="1" l="1"/>
  <c r="B8" i="3"/>
  <c r="J45" i="1"/>
  <c r="B3" i="3"/>
  <c r="C3" i="3"/>
  <c r="C8" i="3"/>
  <c r="J26" i="1"/>
  <c r="D25" i="1"/>
  <c r="E25" i="1" s="1"/>
  <c r="B27" i="1" l="1"/>
  <c r="B4" i="3" s="1"/>
  <c r="D26" i="1"/>
  <c r="H24" i="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<sst xmlns="http://schemas.openxmlformats.org/spreadsheetml/2006/main" count="132" uniqueCount="96">
  <si>
    <t>Change</t>
  </si>
  <si>
    <t>%</t>
  </si>
  <si>
    <t>School</t>
  </si>
  <si>
    <t>SPEA</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</si>
  <si>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</si>
  <si>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</si>
  <si>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</si>
  <si>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</si>
  <si>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</si>
  <si>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</si>
  <si>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</si>
  <si>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</si>
  <si>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</si>
  <si>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</si>
  <si>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</si>
  <si>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</si>
  <si>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</si>
  <si>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</si>
  <si>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</si>
  <si>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</si>
  <si>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</si>
  <si>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</si>
  <si>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</si>
  <si>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</si>
  <si>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</si>
  <si>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</si>
  <si>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</si>
  <si>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</si>
  <si>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</si>
  <si>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</si>
  <si>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</si>
  <si>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</si>
  <si>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</si>
  <si>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</si>
  <si>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</si>
  <si>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</si>
  <si>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</si>
  <si>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</si>
  <si>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</si>
  <si>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</si>
  <si>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</si>
  <si>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</si>
  <si>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</si>
  <si>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</si>
  <si>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Source:  IRDS Point-in-Cycle, Registrar, and UIRR Reports</t>
  </si>
  <si>
    <t>IUPUI Honors College</t>
  </si>
  <si>
    <t>IUPUI Combined#</t>
  </si>
  <si>
    <t>n/a</t>
  </si>
  <si>
    <t>Informatics &amp; Computing</t>
  </si>
  <si>
    <t>Liberal Arts</t>
  </si>
  <si>
    <t>Health &amp; Human Sci *</t>
  </si>
  <si>
    <t>* 2017 headcount and credit hour totals represent the sum of School of Health and Rehabilitation Sciences and School of Physical Education and Tourism Management.</t>
  </si>
  <si>
    <t>Fall 2018</t>
  </si>
  <si>
    <t>IU Ft. Wayne</t>
  </si>
  <si>
    <t xml:space="preserve">**Total also adjusted for students enrolled in degrees offered through the Graduate School but who also have been distributed to schools housing their programs. Heads are counted only once in IN Total.  Credits are not affected.  </t>
  </si>
  <si>
    <t>#Students enrolled at multiple campuses are counted twice at this time. Totals will be adjusted at census. Credits are not affected.</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</si>
  <si>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</si>
  <si>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</si>
  <si>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</si>
  <si>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</si>
  <si>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</si>
  <si>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</si>
  <si>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</si>
  <si>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</si>
  <si>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</si>
  <si>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</si>
  <si>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</si>
  <si>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</si>
  <si>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</si>
  <si>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</si>
  <si>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Doctoral-Practice</t>
  </si>
  <si>
    <t>Doctoral-Research</t>
  </si>
  <si>
    <t>Undistributed Grad**</t>
  </si>
  <si>
    <t>IN Total</t>
  </si>
  <si>
    <t>8/21/2017</t>
  </si>
  <si>
    <t>8/20/2018</t>
  </si>
  <si>
    <t>First Day of Classes - Unofficial</t>
  </si>
  <si>
    <t>+49 ug; +43 grad/prof</t>
  </si>
  <si>
    <t>+7 ug; +1 grad; -2 non-degree</t>
  </si>
  <si>
    <t>-204 ug; -26 grad; -7 non-degree</t>
  </si>
  <si>
    <t>-3 ug; +21 grad</t>
  </si>
  <si>
    <t>-60 ug; +8 grad</t>
  </si>
  <si>
    <t>-88 ug; +18 grad; +3 non-degree</t>
  </si>
  <si>
    <t>-25 grad/prof</t>
  </si>
  <si>
    <t xml:space="preserve">+5 ug; -13 grad/prof; +0 non-degree </t>
  </si>
  <si>
    <t>-5 ug; -19 grad; +1 non-degree</t>
  </si>
  <si>
    <t>+31 ug; +32 grad; +4 non-degree</t>
  </si>
  <si>
    <t>+16 ug; +32 grad/prof; +2 non-degree</t>
  </si>
  <si>
    <t>+39 ug; -22 grad; +14 non-degree</t>
  </si>
  <si>
    <t>+19 ug; +48 grad; +2 non-degree</t>
  </si>
  <si>
    <t>-265 ug; -17 hs; -101 non-degree</t>
  </si>
  <si>
    <t>-12 non-degree</t>
  </si>
  <si>
    <t>+13 ug; +49 grad/prof</t>
  </si>
  <si>
    <t>-119 ug; -12 grad; +53 non-degree</t>
  </si>
  <si>
    <t>-54 ug; -1 grad/prof</t>
  </si>
  <si>
    <t>Office of Institutional Research and Decision Support 8/20/2018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</si>
</sst>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3"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7">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
      <left style="medium">
        <color indexed="64"/>
      </left>
      <right/>
      <top style="thin">
        <color indexed="64"/>
      </top>
      <bottom/>
      <diagonal/>
    </border>
  </borders>
  <cellStyleXfs count="3">
    <xf numFmtId="0" fontId="0" fillId="0" borderId="0"/>
    <xf numFmtId="0" fontId="10" fillId="0" borderId="0"/>
    <xf numFmtId="0" fontId="11" fillId="0" borderId="0"/>
  </cellStyleXfs>
  <cellXfs count="212">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49" fontId="16" fillId="2" borderId="7" xfId="0" applyNumberFormat="1" applyFont="1" applyFill="1" applyBorder="1" applyAlignment="1">
      <alignment vertical="top" wrapText="1"/>
    </xf>
    <xf numFmtId="49" fontId="17" fillId="3" borderId="8" xfId="0" applyNumberFormat="1" applyFont="1" applyFill="1" applyBorder="1" applyAlignment="1">
      <alignment horizont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8"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0"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49" fontId="21" fillId="2" borderId="7" xfId="0" applyNumberFormat="1" applyFont="1" applyFill="1" applyBorder="1" applyAlignment="1">
      <alignment vertical="top" wrapText="1"/>
    </xf>
    <xf numFmtId="0" fontId="17" fillId="2" borderId="4" xfId="0" applyFont="1" applyFill="1" applyBorder="1"/>
    <xf numFmtId="0" fontId="17" fillId="5" borderId="13" xfId="0" applyFont="1" applyFill="1" applyBorder="1"/>
    <xf numFmtId="0" fontId="14" fillId="0" borderId="4" xfId="0" applyFont="1" applyBorder="1" applyAlignment="1">
      <alignment vertical="center"/>
    </xf>
    <xf numFmtId="0" fontId="17" fillId="3" borderId="4" xfId="0" applyFont="1" applyFill="1" applyBorder="1" applyAlignment="1">
      <alignment vertical="center"/>
    </xf>
    <xf numFmtId="3" fontId="22" fillId="2" borderId="3" xfId="0" applyNumberFormat="1" applyFont="1" applyFill="1" applyBorder="1" applyAlignment="1">
      <alignment horizontal="center" wrapText="1"/>
    </xf>
    <xf numFmtId="3" fontId="22" fillId="2" borderId="14" xfId="0" applyNumberFormat="1" applyFont="1" applyFill="1" applyBorder="1" applyAlignment="1">
      <alignment horizontal="center" wrapText="1"/>
    </xf>
    <xf numFmtId="0" fontId="14" fillId="0" borderId="16" xfId="0" applyFont="1" applyBorder="1"/>
    <xf numFmtId="0" fontId="17" fillId="0" borderId="4" xfId="0" applyFont="1" applyBorder="1"/>
    <xf numFmtId="0" fontId="17" fillId="0" borderId="13" xfId="0" applyFont="1" applyBorder="1"/>
    <xf numFmtId="0" fontId="2" fillId="0" borderId="0" xfId="0" applyFont="1"/>
    <xf numFmtId="0" fontId="14" fillId="0" borderId="4" xfId="0" applyFont="1" applyBorder="1" applyAlignment="1">
      <alignment horizontal="left" vertical="center" wrapText="1"/>
    </xf>
    <xf numFmtId="0" fontId="24"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7" fillId="0" borderId="4" xfId="0" applyFont="1" applyBorder="1" applyAlignment="1">
      <alignment vertical="center"/>
    </xf>
    <xf numFmtId="0" fontId="17" fillId="0" borderId="13" xfId="0" applyFont="1" applyBorder="1" applyAlignment="1">
      <alignment vertical="center"/>
    </xf>
    <xf numFmtId="166" fontId="25" fillId="3" borderId="24" xfId="0" applyNumberFormat="1" applyFont="1" applyFill="1" applyBorder="1" applyAlignment="1">
      <alignment horizontal="center" vertical="center" wrapText="1" readingOrder="1"/>
    </xf>
    <xf numFmtId="166" fontId="11" fillId="0" borderId="24" xfId="0" applyNumberFormat="1" applyFont="1" applyFill="1" applyBorder="1" applyAlignment="1">
      <alignment horizontal="center" vertical="center" wrapText="1" readingOrder="1"/>
    </xf>
    <xf numFmtId="0" fontId="14" fillId="0" borderId="16" xfId="0" applyFont="1" applyFill="1" applyBorder="1"/>
    <xf numFmtId="0" fontId="17" fillId="3" borderId="17" xfId="0" applyFont="1" applyFill="1" applyBorder="1"/>
    <xf numFmtId="49" fontId="17" fillId="3" borderId="18" xfId="0" applyNumberFormat="1" applyFont="1" applyFill="1" applyBorder="1" applyAlignment="1">
      <alignment horizontal="center"/>
    </xf>
    <xf numFmtId="16" fontId="17" fillId="3" borderId="5" xfId="0" applyNumberFormat="1" applyFont="1" applyFill="1" applyBorder="1" applyAlignment="1">
      <alignment horizontal="center"/>
    </xf>
    <xf numFmtId="16" fontId="17" fillId="3" borderId="6" xfId="0" applyNumberFormat="1" applyFont="1" applyFill="1" applyBorder="1" applyAlignment="1">
      <alignment horizontal="center"/>
    </xf>
    <xf numFmtId="0" fontId="14" fillId="0" borderId="16" xfId="0" applyFont="1" applyFill="1" applyBorder="1" applyAlignment="1">
      <alignment vertical="center"/>
    </xf>
    <xf numFmtId="16" fontId="17" fillId="3" borderId="18" xfId="0" applyNumberFormat="1" applyFont="1" applyFill="1" applyBorder="1" applyAlignment="1">
      <alignment horizontal="center"/>
    </xf>
    <xf numFmtId="0" fontId="1" fillId="2" borderId="0" xfId="0" applyFont="1" applyFill="1" applyAlignment="1">
      <alignment horizontal="center"/>
    </xf>
    <xf numFmtId="3" fontId="11" fillId="0" borderId="24" xfId="0" applyNumberFormat="1" applyFont="1" applyFill="1" applyBorder="1" applyAlignment="1">
      <alignment horizontal="center" vertical="center" wrapText="1" readingOrder="1"/>
    </xf>
    <xf numFmtId="3" fontId="25" fillId="3" borderId="9" xfId="0" applyNumberFormat="1" applyFont="1" applyFill="1" applyBorder="1" applyAlignment="1">
      <alignment horizontal="center" vertical="center" wrapText="1" readingOrder="1"/>
    </xf>
    <xf numFmtId="166" fontId="25" fillId="5" borderId="25" xfId="0" applyNumberFormat="1" applyFont="1" applyFill="1" applyBorder="1" applyAlignment="1">
      <alignment horizontal="center" vertical="center" wrapText="1" readingOrder="1"/>
    </xf>
    <xf numFmtId="166" fontId="11" fillId="2" borderId="24"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1" fontId="16"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0" fillId="2" borderId="9" xfId="0" applyNumberFormat="1" applyFont="1" applyFill="1" applyBorder="1" applyAlignment="1">
      <alignment horizontal="center" wrapText="1"/>
    </xf>
    <xf numFmtId="3" fontId="31" fillId="2" borderId="9" xfId="0" applyNumberFormat="1" applyFont="1" applyFill="1" applyBorder="1" applyAlignment="1">
      <alignment horizontal="center" wrapText="1"/>
    </xf>
    <xf numFmtId="3" fontId="31" fillId="2" borderId="9" xfId="0" applyNumberFormat="1" applyFont="1" applyFill="1" applyBorder="1" applyAlignment="1">
      <alignment horizontal="center" vertical="center" wrapText="1"/>
    </xf>
    <xf numFmtId="164" fontId="30" fillId="2" borderId="1" xfId="0" applyNumberFormat="1" applyFont="1" applyFill="1" applyBorder="1" applyAlignment="1">
      <alignment horizontal="center" wrapText="1"/>
    </xf>
    <xf numFmtId="164" fontId="31" fillId="2" borderId="1" xfId="0" applyNumberFormat="1" applyFont="1" applyFill="1" applyBorder="1" applyAlignment="1">
      <alignment horizontal="center" wrapText="1"/>
    </xf>
    <xf numFmtId="164" fontId="31" fillId="2" borderId="1" xfId="0" applyNumberFormat="1" applyFont="1" applyFill="1" applyBorder="1" applyAlignment="1">
      <alignment horizontal="center" vertical="center" wrapText="1"/>
    </xf>
    <xf numFmtId="164" fontId="30" fillId="2" borderId="12" xfId="0" applyNumberFormat="1" applyFont="1" applyFill="1" applyBorder="1" applyAlignment="1">
      <alignment horizontal="center" vertical="center" wrapText="1"/>
    </xf>
    <xf numFmtId="164" fontId="30" fillId="2" borderId="1" xfId="0" applyNumberFormat="1" applyFont="1" applyFill="1" applyBorder="1" applyAlignment="1">
      <alignment horizontal="center" vertical="center" wrapText="1"/>
    </xf>
    <xf numFmtId="166" fontId="30"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31" fillId="2" borderId="3" xfId="0" applyNumberFormat="1" applyFont="1" applyFill="1" applyBorder="1" applyAlignment="1">
      <alignment horizontal="center" wrapText="1"/>
    </xf>
    <xf numFmtId="164" fontId="31"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3" fontId="17" fillId="0" borderId="10" xfId="0" applyNumberFormat="1" applyFont="1" applyFill="1" applyBorder="1" applyAlignment="1">
      <alignment horizontal="center" vertical="center"/>
    </xf>
    <xf numFmtId="3" fontId="23"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7" fillId="0" borderId="9" xfId="0" applyNumberFormat="1" applyFont="1" applyFill="1" applyBorder="1" applyAlignment="1">
      <alignment horizontal="center"/>
    </xf>
    <xf numFmtId="3" fontId="17"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0" fontId="17" fillId="5" borderId="31" xfId="0" applyFont="1" applyFill="1" applyBorder="1"/>
    <xf numFmtId="3" fontId="17" fillId="5" borderId="32" xfId="0" applyNumberFormat="1" applyFont="1" applyFill="1" applyBorder="1" applyAlignment="1">
      <alignment horizontal="center" vertical="center" wrapText="1" readingOrder="1"/>
    </xf>
    <xf numFmtId="0" fontId="23" fillId="0" borderId="8" xfId="0" applyFont="1" applyBorder="1" applyAlignment="1">
      <alignment horizontal="center"/>
    </xf>
    <xf numFmtId="0" fontId="23" fillId="0" borderId="34" xfId="0" applyFont="1" applyBorder="1" applyAlignment="1">
      <alignment horizontal="center"/>
    </xf>
    <xf numFmtId="0" fontId="14" fillId="2" borderId="35" xfId="0" applyFont="1" applyFill="1" applyBorder="1"/>
    <xf numFmtId="0" fontId="17" fillId="0" borderId="26" xfId="0" applyFont="1" applyFill="1" applyBorder="1" applyAlignment="1">
      <alignment vertical="center"/>
    </xf>
    <xf numFmtId="0" fontId="0" fillId="0" borderId="0" xfId="0" applyAlignment="1">
      <alignment horizontal="center" vertical="center"/>
    </xf>
    <xf numFmtId="0" fontId="4" fillId="0" borderId="4" xfId="0" applyFont="1" applyBorder="1" applyAlignment="1">
      <alignment vertical="center" wrapText="1"/>
    </xf>
    <xf numFmtId="0" fontId="0" fillId="0" borderId="38" xfId="0" applyBorder="1" applyAlignment="1">
      <alignment vertical="center" wrapText="1"/>
    </xf>
    <xf numFmtId="166" fontId="32" fillId="3" borderId="9" xfId="0" applyNumberFormat="1" applyFont="1" applyFill="1" applyBorder="1" applyAlignment="1">
      <alignment horizontal="center" vertical="center" wrapText="1" readingOrder="1"/>
    </xf>
    <xf numFmtId="164" fontId="32" fillId="3" borderId="1" xfId="0" applyNumberFormat="1" applyFont="1" applyFill="1" applyBorder="1" applyAlignment="1">
      <alignment horizontal="center" vertical="center" wrapText="1"/>
    </xf>
    <xf numFmtId="3" fontId="14" fillId="0" borderId="9" xfId="0" applyNumberFormat="1" applyFont="1" applyBorder="1" applyAlignment="1">
      <alignment horizontal="center"/>
    </xf>
    <xf numFmtId="3" fontId="14" fillId="0" borderId="21" xfId="0" applyNumberFormat="1" applyFont="1" applyBorder="1" applyAlignment="1">
      <alignment horizontal="center"/>
    </xf>
    <xf numFmtId="3" fontId="26" fillId="0" borderId="9" xfId="0" applyNumberFormat="1" applyFont="1" applyFill="1" applyBorder="1" applyAlignment="1">
      <alignment horizontal="center" vertical="center" wrapText="1"/>
    </xf>
    <xf numFmtId="164" fontId="26" fillId="0" borderId="7" xfId="0" applyNumberFormat="1" applyFont="1" applyFill="1" applyBorder="1" applyAlignment="1">
      <alignment horizontal="center" vertical="center" wrapText="1"/>
    </xf>
    <xf numFmtId="49" fontId="14" fillId="0" borderId="7" xfId="0" applyNumberFormat="1" applyFont="1" applyFill="1" applyBorder="1" applyAlignment="1">
      <alignment horizontal="left" vertical="center"/>
    </xf>
    <xf numFmtId="49" fontId="14" fillId="0" borderId="7" xfId="0" applyNumberFormat="1" applyFont="1" applyFill="1" applyBorder="1" applyAlignment="1">
      <alignment horizontal="left" vertical="center" wrapText="1"/>
    </xf>
    <xf numFmtId="49" fontId="19" fillId="0" borderId="7" xfId="0" applyNumberFormat="1" applyFont="1" applyFill="1" applyBorder="1" applyAlignment="1">
      <alignment horizontal="left" vertical="center" wrapText="1"/>
    </xf>
    <xf numFmtId="49" fontId="14" fillId="0" borderId="20" xfId="0" applyNumberFormat="1" applyFont="1" applyFill="1" applyBorder="1" applyAlignment="1">
      <alignment horizontal="left" vertical="center" wrapText="1"/>
    </xf>
    <xf numFmtId="49" fontId="19" fillId="0" borderId="20" xfId="0" applyNumberFormat="1" applyFont="1" applyFill="1" applyBorder="1" applyAlignment="1">
      <alignment horizontal="left" vertical="center" wrapText="1"/>
    </xf>
    <xf numFmtId="3" fontId="11" fillId="0" borderId="0" xfId="0" applyNumberFormat="1" applyFont="1" applyFill="1" applyBorder="1" applyAlignment="1">
      <alignment horizontal="center" vertical="center" wrapText="1" readingOrder="1"/>
    </xf>
    <xf numFmtId="3" fontId="11" fillId="0" borderId="39" xfId="0" applyNumberFormat="1" applyFont="1" applyFill="1" applyBorder="1" applyAlignment="1">
      <alignment horizontal="center" vertical="center" wrapText="1" readingOrder="1"/>
    </xf>
    <xf numFmtId="0" fontId="17" fillId="3" borderId="23" xfId="0" applyFont="1" applyFill="1" applyBorder="1"/>
    <xf numFmtId="164" fontId="11" fillId="2" borderId="35" xfId="0" applyNumberFormat="1" applyFont="1" applyFill="1" applyBorder="1" applyAlignment="1">
      <alignment horizontal="center" vertical="center" wrapText="1"/>
    </xf>
    <xf numFmtId="0" fontId="0" fillId="0" borderId="40" xfId="0" applyBorder="1"/>
    <xf numFmtId="3" fontId="30" fillId="2" borderId="9" xfId="0" applyNumberFormat="1" applyFont="1" applyFill="1" applyBorder="1" applyAlignment="1">
      <alignment horizontal="center" vertical="center" wrapText="1"/>
    </xf>
    <xf numFmtId="166" fontId="31" fillId="0" borderId="10" xfId="0" applyNumberFormat="1" applyFont="1" applyFill="1" applyBorder="1" applyAlignment="1">
      <alignment horizontal="center" vertical="center" wrapText="1" readingOrder="1"/>
    </xf>
    <xf numFmtId="164" fontId="31" fillId="2" borderId="2" xfId="0" applyNumberFormat="1" applyFont="1" applyFill="1" applyBorder="1" applyAlignment="1">
      <alignment horizontal="center" vertical="center" wrapText="1"/>
    </xf>
    <xf numFmtId="164" fontId="30" fillId="0" borderId="9" xfId="0" applyNumberFormat="1" applyFont="1" applyBorder="1" applyAlignment="1">
      <alignment horizontal="center" vertical="center" wrapText="1" readingOrder="1"/>
    </xf>
    <xf numFmtId="3" fontId="14" fillId="0" borderId="37" xfId="0" applyNumberFormat="1" applyFont="1" applyBorder="1" applyAlignment="1">
      <alignment horizontal="center"/>
    </xf>
    <xf numFmtId="3" fontId="14" fillId="0" borderId="36" xfId="0" applyNumberFormat="1" applyFont="1" applyBorder="1" applyAlignment="1">
      <alignment horizontal="center"/>
    </xf>
    <xf numFmtId="166" fontId="26" fillId="3" borderId="9" xfId="0" applyNumberFormat="1" applyFont="1" applyFill="1" applyBorder="1" applyAlignment="1">
      <alignment horizontal="center" vertical="center" wrapText="1" readingOrder="1"/>
    </xf>
    <xf numFmtId="164" fontId="26" fillId="3" borderId="1" xfId="0" applyNumberFormat="1" applyFont="1" applyFill="1" applyBorder="1" applyAlignment="1">
      <alignment horizontal="center" vertical="center" wrapText="1"/>
    </xf>
    <xf numFmtId="3" fontId="26" fillId="2" borderId="3" xfId="0" applyNumberFormat="1" applyFont="1" applyFill="1" applyBorder="1" applyAlignment="1">
      <alignment horizontal="center" vertical="center" wrapText="1"/>
    </xf>
    <xf numFmtId="164" fontId="26" fillId="2" borderId="12" xfId="0" applyNumberFormat="1" applyFont="1" applyFill="1" applyBorder="1" applyAlignment="1">
      <alignment horizontal="center" vertical="center" wrapText="1"/>
    </xf>
    <xf numFmtId="49" fontId="0" fillId="0" borderId="43" xfId="0" applyNumberFormat="1" applyBorder="1"/>
    <xf numFmtId="3" fontId="32" fillId="2" borderId="9" xfId="0" applyNumberFormat="1" applyFont="1" applyFill="1" applyBorder="1" applyAlignment="1">
      <alignment horizontal="center" wrapText="1"/>
    </xf>
    <xf numFmtId="164" fontId="32" fillId="2" borderId="1" xfId="0" applyNumberFormat="1" applyFont="1" applyFill="1" applyBorder="1" applyAlignment="1">
      <alignment horizontal="center" vertical="center" wrapText="1"/>
    </xf>
    <xf numFmtId="0" fontId="0" fillId="0" borderId="0" xfId="0" applyAlignment="1">
      <alignment vertical="top" wrapText="1"/>
    </xf>
    <xf numFmtId="3" fontId="32" fillId="0" borderId="9" xfId="0" applyNumberFormat="1" applyFont="1" applyFill="1" applyBorder="1" applyAlignment="1">
      <alignment horizontal="center" vertical="center" wrapText="1"/>
    </xf>
    <xf numFmtId="1" fontId="11" fillId="0" borderId="25" xfId="0" applyNumberFormat="1" applyFont="1" applyFill="1" applyBorder="1" applyAlignment="1">
      <alignment horizontal="center" vertical="center" wrapText="1" readingOrder="1"/>
    </xf>
    <xf numFmtId="1" fontId="17" fillId="3" borderId="44" xfId="0" applyNumberFormat="1" applyFont="1" applyFill="1" applyBorder="1" applyAlignment="1">
      <alignment horizontal="center"/>
    </xf>
    <xf numFmtId="1" fontId="17" fillId="3" borderId="37" xfId="0" applyNumberFormat="1" applyFont="1" applyFill="1" applyBorder="1" applyAlignment="1">
      <alignment horizontal="center"/>
    </xf>
    <xf numFmtId="3" fontId="14" fillId="0" borderId="0" xfId="0" applyNumberFormat="1" applyFont="1" applyAlignment="1">
      <alignment horizontal="center"/>
    </xf>
    <xf numFmtId="3" fontId="17" fillId="0" borderId="10" xfId="0" applyNumberFormat="1" applyFont="1" applyBorder="1" applyAlignment="1">
      <alignment horizontal="center"/>
    </xf>
    <xf numFmtId="3" fontId="26" fillId="2" borderId="14" xfId="0" applyNumberFormat="1" applyFont="1" applyFill="1" applyBorder="1" applyAlignment="1">
      <alignment horizontal="center" vertical="center" wrapText="1"/>
    </xf>
    <xf numFmtId="164" fontId="26" fillId="2" borderId="15" xfId="0" applyNumberFormat="1" applyFont="1" applyFill="1" applyBorder="1" applyAlignment="1">
      <alignment horizontal="center" vertical="center" wrapText="1"/>
    </xf>
    <xf numFmtId="3" fontId="26" fillId="2" borderId="9" xfId="0" applyNumberFormat="1" applyFont="1" applyFill="1" applyBorder="1" applyAlignment="1">
      <alignment horizontal="center" wrapText="1"/>
    </xf>
    <xf numFmtId="164" fontId="26" fillId="2" borderId="1" xfId="0" applyNumberFormat="1" applyFont="1" applyFill="1" applyBorder="1" applyAlignment="1">
      <alignment horizontal="center" wrapText="1"/>
    </xf>
    <xf numFmtId="3" fontId="30" fillId="0" borderId="9" xfId="0" applyNumberFormat="1" applyFont="1" applyFill="1" applyBorder="1" applyAlignment="1">
      <alignment horizontal="center" wrapText="1"/>
    </xf>
    <xf numFmtId="164" fontId="30" fillId="0" borderId="1" xfId="0" applyNumberFormat="1" applyFont="1" applyFill="1" applyBorder="1" applyAlignment="1">
      <alignment horizontal="center" wrapText="1"/>
    </xf>
    <xf numFmtId="3" fontId="26" fillId="3" borderId="9" xfId="0" applyNumberFormat="1" applyFont="1" applyFill="1" applyBorder="1" applyAlignment="1">
      <alignment horizontal="center" wrapText="1"/>
    </xf>
    <xf numFmtId="164" fontId="26" fillId="3" borderId="1" xfId="0" applyNumberFormat="1" applyFont="1" applyFill="1" applyBorder="1" applyAlignment="1">
      <alignment horizontal="center" wrapText="1"/>
    </xf>
    <xf numFmtId="3" fontId="30" fillId="2" borderId="11" xfId="0" applyNumberFormat="1" applyFont="1" applyFill="1" applyBorder="1" applyAlignment="1">
      <alignment horizontal="center" vertical="center" wrapText="1"/>
    </xf>
    <xf numFmtId="3" fontId="26" fillId="3" borderId="9" xfId="0" applyNumberFormat="1" applyFont="1" applyFill="1" applyBorder="1" applyAlignment="1">
      <alignment horizontal="center" vertical="center" wrapText="1"/>
    </xf>
    <xf numFmtId="3" fontId="30" fillId="2" borderId="11" xfId="0" applyNumberFormat="1" applyFont="1" applyFill="1" applyBorder="1" applyAlignment="1">
      <alignment horizontal="center" wrapText="1"/>
    </xf>
    <xf numFmtId="164" fontId="30" fillId="2" borderId="12" xfId="0" applyNumberFormat="1" applyFont="1" applyFill="1" applyBorder="1" applyAlignment="1">
      <alignment horizontal="center" wrapText="1"/>
    </xf>
    <xf numFmtId="3" fontId="26" fillId="5" borderId="10" xfId="0" applyNumberFormat="1" applyFont="1" applyFill="1" applyBorder="1" applyAlignment="1">
      <alignment horizontal="center" wrapText="1"/>
    </xf>
    <xf numFmtId="164" fontId="26" fillId="5" borderId="2" xfId="0" applyNumberFormat="1" applyFont="1" applyFill="1" applyBorder="1" applyAlignment="1">
      <alignment horizontal="center" wrapText="1"/>
    </xf>
    <xf numFmtId="3" fontId="26" fillId="5" borderId="29" xfId="0" applyNumberFormat="1" applyFont="1" applyFill="1" applyBorder="1" applyAlignment="1">
      <alignment horizontal="center" vertical="center" wrapText="1"/>
    </xf>
    <xf numFmtId="164" fontId="26" fillId="5" borderId="30" xfId="0" applyNumberFormat="1" applyFont="1" applyFill="1" applyBorder="1" applyAlignment="1">
      <alignment horizontal="center" vertical="center" wrapText="1"/>
    </xf>
    <xf numFmtId="49" fontId="20" fillId="0" borderId="0" xfId="0" applyNumberFormat="1" applyFont="1" applyBorder="1" applyAlignment="1">
      <alignment horizontal="right"/>
    </xf>
    <xf numFmtId="0" fontId="17" fillId="3" borderId="40" xfId="0" applyFont="1" applyFill="1" applyBorder="1"/>
    <xf numFmtId="164" fontId="14" fillId="0" borderId="10" xfId="0" applyNumberFormat="1" applyFont="1" applyBorder="1" applyAlignment="1">
      <alignment horizontal="center"/>
    </xf>
    <xf numFmtId="49" fontId="4" fillId="0" borderId="42"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1" fillId="3" borderId="17" xfId="0" applyFont="1" applyFill="1" applyBorder="1" applyAlignment="1"/>
    <xf numFmtId="0" fontId="1" fillId="3" borderId="5" xfId="0" applyFont="1" applyFill="1" applyBorder="1" applyAlignment="1"/>
    <xf numFmtId="14" fontId="28" fillId="0" borderId="0" xfId="0" applyNumberFormat="1" applyFont="1" applyAlignment="1">
      <alignment horizontal="left"/>
    </xf>
    <xf numFmtId="0" fontId="29" fillId="0" borderId="0" xfId="0" applyFont="1" applyAlignment="1">
      <alignment horizontal="left"/>
    </xf>
    <xf numFmtId="0" fontId="21" fillId="0" borderId="4" xfId="0" applyFont="1" applyBorder="1" applyAlignment="1">
      <alignment wrapText="1"/>
    </xf>
    <xf numFmtId="0" fontId="21" fillId="0" borderId="9" xfId="0" applyFont="1" applyBorder="1" applyAlignment="1">
      <alignment wrapText="1"/>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6"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6" fillId="0" borderId="46" xfId="0" applyFont="1" applyBorder="1" applyAlignment="1">
      <alignment horizontal="right" vertical="center" wrapText="1"/>
    </xf>
    <xf numFmtId="0" fontId="6" fillId="0" borderId="26" xfId="0" applyFont="1" applyBorder="1" applyAlignment="1">
      <alignment horizontal="right" vertical="center" wrapText="1"/>
    </xf>
    <xf numFmtId="0" fontId="21" fillId="0" borderId="13" xfId="0" applyFont="1" applyBorder="1" applyAlignment="1">
      <alignment wrapText="1"/>
    </xf>
    <xf numFmtId="0" fontId="21" fillId="0" borderId="10" xfId="0" applyFont="1" applyBorder="1" applyAlignment="1">
      <alignment wrapText="1"/>
    </xf>
    <xf numFmtId="49" fontId="4" fillId="0" borderId="41" xfId="0" applyNumberFormat="1" applyFont="1" applyBorder="1" applyAlignment="1">
      <alignment wrapText="1"/>
    </xf>
    <xf numFmtId="49" fontId="4" fillId="0" borderId="22" xfId="0" applyNumberFormat="1" applyFont="1" applyBorder="1" applyAlignment="1">
      <alignment wrapText="1"/>
    </xf>
    <xf numFmtId="49" fontId="4" fillId="0" borderId="3" xfId="0" applyNumberFormat="1" applyFont="1" applyBorder="1" applyAlignment="1">
      <alignment wrapText="1"/>
    </xf>
    <xf numFmtId="0" fontId="4" fillId="0" borderId="41" xfId="0" applyFont="1" applyBorder="1" applyAlignment="1">
      <alignment vertical="center" wrapText="1"/>
    </xf>
    <xf numFmtId="0" fontId="4" fillId="0" borderId="22" xfId="0" applyFont="1" applyBorder="1" applyAlignment="1">
      <alignment vertical="center" wrapText="1"/>
    </xf>
    <xf numFmtId="0" fontId="4" fillId="0" borderId="14" xfId="0" applyFont="1" applyBorder="1" applyAlignment="1">
      <alignment vertical="center" wrapText="1"/>
    </xf>
    <xf numFmtId="0" fontId="4" fillId="0" borderId="33" xfId="0" applyFont="1" applyFill="1" applyBorder="1" applyAlignment="1">
      <alignment vertical="center" wrapText="1"/>
    </xf>
    <xf numFmtId="0" fontId="4" fillId="0" borderId="38" xfId="0" applyFont="1" applyFill="1" applyBorder="1" applyAlignment="1">
      <alignment vertical="center" wrapText="1"/>
    </xf>
    <xf numFmtId="0" fontId="21" fillId="0" borderId="4" xfId="0" applyFont="1" applyBorder="1" applyAlignment="1"/>
    <xf numFmtId="0" fontId="21" fillId="0" borderId="9" xfId="0" applyFont="1" applyBorder="1" applyAlignment="1"/>
    <xf numFmtId="0" fontId="21" fillId="0" borderId="16" xfId="0" applyFont="1" applyBorder="1" applyAlignment="1"/>
    <xf numFmtId="0" fontId="21" fillId="0" borderId="11" xfId="0" applyFont="1" applyBorder="1" applyAlignment="1"/>
    <xf numFmtId="0" fontId="4" fillId="0" borderId="45" xfId="0" applyFont="1" applyBorder="1" applyAlignment="1">
      <alignment vertical="top" wrapText="1"/>
    </xf>
    <xf numFmtId="0" fontId="4" fillId="0" borderId="0" xfId="0" applyFont="1" applyAlignment="1">
      <alignment vertical="top"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27" fillId="0" borderId="0" xfId="0" applyFont="1" applyFill="1" applyBorder="1" applyAlignment="1">
      <alignment vertical="center" wrapText="1"/>
    </xf>
    <xf numFmtId="0" fontId="2" fillId="0" borderId="0" xfId="0" applyFont="1" applyFill="1" applyBorder="1" applyAlignment="1">
      <alignment wrapText="1"/>
    </xf>
    <xf numFmtId="3" fontId="31" fillId="0" borderId="9" xfId="0" applyNumberFormat="1" applyFont="1" applyFill="1" applyBorder="1" applyAlignment="1">
      <alignment horizontal="center" wrapText="1"/>
    </xf>
    <xf numFmtId="164" fontId="31" fillId="0" borderId="1" xfId="0" applyNumberFormat="1" applyFont="1" applyFill="1" applyBorder="1" applyAlignment="1">
      <alignment horizont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B4" sqref="B4"/>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52</v>
      </c>
      <c r="B1" s="200" t="s">
        <v>33</v>
      </c>
      <c r="C1" s="201"/>
      <c r="D1" s="201"/>
      <c r="E1" s="6"/>
      <c r="F1" s="14"/>
      <c r="G1" s="172" t="s">
        <v>76</v>
      </c>
      <c r="H1" s="173"/>
      <c r="I1" s="173"/>
      <c r="J1" s="173"/>
      <c r="K1" s="173"/>
      <c r="L1" s="173"/>
    </row>
    <row r="2" spans="1:12" s="3" customFormat="1" ht="16.5" customHeight="1" thickBot="1" x14ac:dyDescent="0.3">
      <c r="A2" s="202" t="s">
        <v>4</v>
      </c>
      <c r="B2" s="203"/>
      <c r="C2" s="203"/>
      <c r="D2" s="63"/>
      <c r="E2" s="63"/>
      <c r="F2" s="15"/>
      <c r="G2" s="204" t="s">
        <v>5</v>
      </c>
      <c r="H2" s="203"/>
      <c r="I2" s="203"/>
      <c r="J2" s="203"/>
      <c r="K2" s="74"/>
      <c r="L2" s="75"/>
    </row>
    <row r="3" spans="1:12" s="1" customFormat="1" ht="15.75" thickBot="1" x14ac:dyDescent="0.3">
      <c r="A3" s="57" t="s">
        <v>2</v>
      </c>
      <c r="B3" s="58" t="s">
        <v>74</v>
      </c>
      <c r="C3" s="58" t="s">
        <v>75</v>
      </c>
      <c r="D3" s="62" t="s">
        <v>0</v>
      </c>
      <c r="E3" s="60" t="s">
        <v>1</v>
      </c>
      <c r="F3" s="50"/>
      <c r="G3" s="57" t="s">
        <v>2</v>
      </c>
      <c r="H3" s="58" t="s">
        <v>74</v>
      </c>
      <c r="I3" s="58" t="s">
        <v>75</v>
      </c>
      <c r="J3" s="59" t="s">
        <v>0</v>
      </c>
      <c r="K3" s="60" t="s">
        <v>1</v>
      </c>
      <c r="L3" s="22" t="s">
        <v>37</v>
      </c>
    </row>
    <row r="4" spans="1:12" ht="15" x14ac:dyDescent="0.25">
      <c r="A4" s="61" t="s">
        <v>20</v>
      </c>
      <c r="B4" s="64">
        <v>11299.6</v>
      </c>
      <c r="C4" s="64">
        <v>11101</v>
      </c>
      <c r="D4" s="156">
        <f t="shared" ref="D4:D23" si="0">C4-B4</f>
        <v>-198.60000000000036</v>
      </c>
      <c r="E4" s="82">
        <f t="shared" ref="E4:E21" si="1">D4/B4</f>
        <v>-1.7575843392686499E-2</v>
      </c>
      <c r="F4" s="23"/>
      <c r="G4" s="56" t="s">
        <v>20</v>
      </c>
      <c r="H4" s="55">
        <v>651</v>
      </c>
      <c r="I4" s="55">
        <v>643</v>
      </c>
      <c r="J4" s="158">
        <f>I4-H4</f>
        <v>-8</v>
      </c>
      <c r="K4" s="159">
        <f>J4/H4</f>
        <v>-1.2288786482334869E-2</v>
      </c>
      <c r="L4" s="118" t="s">
        <v>84</v>
      </c>
    </row>
    <row r="5" spans="1:12" ht="15" x14ac:dyDescent="0.25">
      <c r="A5" s="24" t="s">
        <v>21</v>
      </c>
      <c r="B5" s="64">
        <v>9291</v>
      </c>
      <c r="C5" s="64">
        <v>8989</v>
      </c>
      <c r="D5" s="128">
        <f t="shared" si="0"/>
        <v>-302</v>
      </c>
      <c r="E5" s="83">
        <f t="shared" si="1"/>
        <v>-3.2504574319233669E-2</v>
      </c>
      <c r="F5" s="23"/>
      <c r="G5" s="18" t="s">
        <v>21</v>
      </c>
      <c r="H5" s="55">
        <v>980</v>
      </c>
      <c r="I5" s="55">
        <v>957</v>
      </c>
      <c r="J5" s="76">
        <f t="shared" ref="J5:J27" si="2">I5-H5</f>
        <v>-23</v>
      </c>
      <c r="K5" s="79">
        <f t="shared" ref="K5:K27" si="3">J5/H5</f>
        <v>-2.3469387755102041E-2</v>
      </c>
      <c r="L5" s="118" t="s">
        <v>85</v>
      </c>
    </row>
    <row r="6" spans="1:12" ht="15" x14ac:dyDescent="0.25">
      <c r="A6" s="24" t="s">
        <v>25</v>
      </c>
      <c r="B6" s="64">
        <f>13130+20574</f>
        <v>33704</v>
      </c>
      <c r="C6" s="64">
        <f>13475+19339</f>
        <v>32814</v>
      </c>
      <c r="D6" s="128">
        <f t="shared" si="0"/>
        <v>-890</v>
      </c>
      <c r="E6" s="83">
        <f t="shared" si="1"/>
        <v>-2.6406361262758131E-2</v>
      </c>
      <c r="F6" s="23"/>
      <c r="G6" s="18" t="s">
        <v>25</v>
      </c>
      <c r="H6" s="55">
        <v>3276</v>
      </c>
      <c r="I6" s="55">
        <v>3209</v>
      </c>
      <c r="J6" s="76">
        <f t="shared" si="2"/>
        <v>-67</v>
      </c>
      <c r="K6" s="79">
        <f t="shared" si="3"/>
        <v>-2.0451770451770452E-2</v>
      </c>
      <c r="L6" s="119" t="s">
        <v>82</v>
      </c>
    </row>
    <row r="7" spans="1:12" ht="15.75" customHeight="1" x14ac:dyDescent="0.25">
      <c r="A7" s="24" t="s">
        <v>50</v>
      </c>
      <c r="B7" s="64">
        <f>18401+8029</f>
        <v>26430</v>
      </c>
      <c r="C7" s="64">
        <f>25397</f>
        <v>25397</v>
      </c>
      <c r="D7" s="128">
        <f t="shared" si="0"/>
        <v>-1033</v>
      </c>
      <c r="E7" s="83">
        <f t="shared" si="1"/>
        <v>-3.9084373817631482E-2</v>
      </c>
      <c r="F7" s="23"/>
      <c r="G7" s="24" t="s">
        <v>50</v>
      </c>
      <c r="H7" s="55">
        <f>772+965</f>
        <v>1737</v>
      </c>
      <c r="I7" s="55">
        <f>1461+170+51</f>
        <v>1682</v>
      </c>
      <c r="J7" s="152">
        <f t="shared" si="2"/>
        <v>-55</v>
      </c>
      <c r="K7" s="153">
        <f t="shared" si="3"/>
        <v>-3.1663788140472077E-2</v>
      </c>
      <c r="L7" s="119" t="s">
        <v>94</v>
      </c>
    </row>
    <row r="8" spans="1:12" ht="15" x14ac:dyDescent="0.25">
      <c r="A8" s="24" t="s">
        <v>36</v>
      </c>
      <c r="B8" s="64">
        <v>9887</v>
      </c>
      <c r="C8" s="64">
        <v>9970</v>
      </c>
      <c r="D8" s="78">
        <f t="shared" si="0"/>
        <v>83</v>
      </c>
      <c r="E8" s="81">
        <f t="shared" si="1"/>
        <v>8.3948619399211079E-3</v>
      </c>
      <c r="F8" s="23"/>
      <c r="G8" s="18" t="s">
        <v>36</v>
      </c>
      <c r="H8" s="55">
        <v>714</v>
      </c>
      <c r="I8" s="55">
        <v>720</v>
      </c>
      <c r="J8" s="77">
        <f t="shared" si="2"/>
        <v>6</v>
      </c>
      <c r="K8" s="80">
        <f t="shared" si="3"/>
        <v>8.4033613445378148E-3</v>
      </c>
      <c r="L8" s="119" t="s">
        <v>78</v>
      </c>
    </row>
    <row r="9" spans="1:12" ht="15" x14ac:dyDescent="0.25">
      <c r="A9" s="24" t="s">
        <v>48</v>
      </c>
      <c r="B9" s="64">
        <v>13857</v>
      </c>
      <c r="C9" s="64">
        <v>13554</v>
      </c>
      <c r="D9" s="128">
        <f t="shared" si="0"/>
        <v>-303</v>
      </c>
      <c r="E9" s="83">
        <f t="shared" si="1"/>
        <v>-2.1866204806235117E-2</v>
      </c>
      <c r="F9" s="23"/>
      <c r="G9" s="24" t="s">
        <v>48</v>
      </c>
      <c r="H9" s="55">
        <v>1290</v>
      </c>
      <c r="I9" s="55">
        <v>1357</v>
      </c>
      <c r="J9" s="77">
        <f t="shared" si="2"/>
        <v>67</v>
      </c>
      <c r="K9" s="80">
        <f t="shared" si="3"/>
        <v>5.193798449612403E-2</v>
      </c>
      <c r="L9" s="119" t="s">
        <v>86</v>
      </c>
    </row>
    <row r="10" spans="1:12" ht="15" x14ac:dyDescent="0.25">
      <c r="A10" s="24" t="s">
        <v>43</v>
      </c>
      <c r="B10" s="64">
        <v>26250.5</v>
      </c>
      <c r="C10" s="64">
        <v>25087.5</v>
      </c>
      <c r="D10" s="128">
        <f t="shared" si="0"/>
        <v>-1163</v>
      </c>
      <c r="E10" s="83">
        <f t="shared" si="1"/>
        <v>-4.430391802060913E-2</v>
      </c>
      <c r="F10" s="23"/>
      <c r="G10" s="18" t="s">
        <v>43</v>
      </c>
      <c r="H10" s="55">
        <v>1735</v>
      </c>
      <c r="I10" s="55">
        <v>1498</v>
      </c>
      <c r="J10" s="76">
        <f t="shared" si="2"/>
        <v>-237</v>
      </c>
      <c r="K10" s="79">
        <f t="shared" si="3"/>
        <v>-0.13659942363112393</v>
      </c>
      <c r="L10" s="119" t="s">
        <v>79</v>
      </c>
    </row>
    <row r="11" spans="1:12" ht="14.25" customHeight="1" x14ac:dyDescent="0.25">
      <c r="A11" s="24" t="s">
        <v>34</v>
      </c>
      <c r="B11" s="64">
        <v>11317.5</v>
      </c>
      <c r="C11" s="64">
        <v>11266</v>
      </c>
      <c r="D11" s="128">
        <f t="shared" si="0"/>
        <v>-51.5</v>
      </c>
      <c r="E11" s="83">
        <f t="shared" si="1"/>
        <v>-4.5504749282085262E-3</v>
      </c>
      <c r="F11" s="23"/>
      <c r="G11" s="18" t="s">
        <v>34</v>
      </c>
      <c r="H11" s="55">
        <v>896</v>
      </c>
      <c r="I11" s="55">
        <v>871</v>
      </c>
      <c r="J11" s="76">
        <f t="shared" si="2"/>
        <v>-25</v>
      </c>
      <c r="K11" s="79">
        <f t="shared" si="3"/>
        <v>-2.7901785714285716E-2</v>
      </c>
      <c r="L11" s="119" t="s">
        <v>83</v>
      </c>
    </row>
    <row r="12" spans="1:12" ht="15" x14ac:dyDescent="0.25">
      <c r="A12" s="24" t="s">
        <v>49</v>
      </c>
      <c r="B12" s="64">
        <v>56976.5</v>
      </c>
      <c r="C12" s="64">
        <v>52007</v>
      </c>
      <c r="D12" s="128">
        <f t="shared" si="0"/>
        <v>-4969.5</v>
      </c>
      <c r="E12" s="83">
        <f t="shared" si="1"/>
        <v>-8.7220169719094714E-2</v>
      </c>
      <c r="F12" s="23"/>
      <c r="G12" s="18" t="s">
        <v>49</v>
      </c>
      <c r="H12" s="55">
        <f>2018+37</f>
        <v>2055</v>
      </c>
      <c r="I12" s="55">
        <f>1934+43</f>
        <v>1977</v>
      </c>
      <c r="J12" s="152">
        <f t="shared" si="2"/>
        <v>-78</v>
      </c>
      <c r="K12" s="153">
        <f t="shared" si="3"/>
        <v>-3.7956204379562042E-2</v>
      </c>
      <c r="L12" s="119" t="s">
        <v>93</v>
      </c>
    </row>
    <row r="13" spans="1:12" ht="15" customHeight="1" x14ac:dyDescent="0.25">
      <c r="A13" s="24" t="s">
        <v>39</v>
      </c>
      <c r="B13" s="64">
        <v>32164</v>
      </c>
      <c r="C13" s="64">
        <v>32712</v>
      </c>
      <c r="D13" s="78">
        <f t="shared" si="0"/>
        <v>548</v>
      </c>
      <c r="E13" s="81">
        <f t="shared" si="1"/>
        <v>1.7037681880363139E-2</v>
      </c>
      <c r="F13" s="23"/>
      <c r="G13" s="18" t="s">
        <v>39</v>
      </c>
      <c r="H13" s="55">
        <f>1930+2+17+28+5+2</f>
        <v>1984</v>
      </c>
      <c r="I13" s="55">
        <f>1980+4+25+33+4</f>
        <v>2046</v>
      </c>
      <c r="J13" s="210">
        <f t="shared" si="2"/>
        <v>62</v>
      </c>
      <c r="K13" s="211">
        <f t="shared" si="3"/>
        <v>3.125E-2</v>
      </c>
      <c r="L13" s="120" t="s">
        <v>92</v>
      </c>
    </row>
    <row r="14" spans="1:12" ht="14.25" customHeight="1" x14ac:dyDescent="0.25">
      <c r="A14" s="24" t="s">
        <v>22</v>
      </c>
      <c r="B14" s="64">
        <v>11592</v>
      </c>
      <c r="C14" s="64">
        <v>12170</v>
      </c>
      <c r="D14" s="78">
        <f t="shared" si="0"/>
        <v>578</v>
      </c>
      <c r="E14" s="81">
        <f t="shared" si="1"/>
        <v>4.9861973775017256E-2</v>
      </c>
      <c r="F14" s="23"/>
      <c r="G14" s="18" t="s">
        <v>22</v>
      </c>
      <c r="H14" s="55">
        <v>1181</v>
      </c>
      <c r="I14" s="55">
        <v>1231</v>
      </c>
      <c r="J14" s="77">
        <f t="shared" si="2"/>
        <v>50</v>
      </c>
      <c r="K14" s="80">
        <f t="shared" si="3"/>
        <v>4.2337002540220152E-2</v>
      </c>
      <c r="L14" s="120" t="s">
        <v>87</v>
      </c>
    </row>
    <row r="15" spans="1:12" ht="15" x14ac:dyDescent="0.25">
      <c r="A15" s="24" t="s">
        <v>41</v>
      </c>
      <c r="B15" s="64">
        <v>1512</v>
      </c>
      <c r="C15" s="64">
        <v>1444</v>
      </c>
      <c r="D15" s="128">
        <f t="shared" si="0"/>
        <v>-68</v>
      </c>
      <c r="E15" s="83">
        <f t="shared" si="1"/>
        <v>-4.4973544973544971E-2</v>
      </c>
      <c r="F15" s="23"/>
      <c r="G15" s="25" t="s">
        <v>41</v>
      </c>
      <c r="H15" s="55">
        <v>194</v>
      </c>
      <c r="I15" s="55">
        <v>212</v>
      </c>
      <c r="J15" s="77">
        <f t="shared" si="2"/>
        <v>18</v>
      </c>
      <c r="K15" s="80">
        <f t="shared" si="3"/>
        <v>9.2783505154639179E-2</v>
      </c>
      <c r="L15" s="119" t="s">
        <v>80</v>
      </c>
    </row>
    <row r="16" spans="1:12" ht="16.5" customHeight="1" x14ac:dyDescent="0.25">
      <c r="A16" s="24" t="s">
        <v>3</v>
      </c>
      <c r="B16" s="64">
        <v>9917</v>
      </c>
      <c r="C16" s="64">
        <v>9663</v>
      </c>
      <c r="D16" s="128">
        <f t="shared" si="0"/>
        <v>-254</v>
      </c>
      <c r="E16" s="83">
        <f t="shared" si="1"/>
        <v>-2.5612584450942825E-2</v>
      </c>
      <c r="F16" s="23"/>
      <c r="G16" s="18" t="s">
        <v>3</v>
      </c>
      <c r="H16" s="55">
        <v>1015</v>
      </c>
      <c r="I16" s="55">
        <v>963</v>
      </c>
      <c r="J16" s="76">
        <f t="shared" si="2"/>
        <v>-52</v>
      </c>
      <c r="K16" s="79">
        <f t="shared" si="3"/>
        <v>-5.123152709359606E-2</v>
      </c>
      <c r="L16" s="119" t="s">
        <v>81</v>
      </c>
    </row>
    <row r="17" spans="1:12" ht="15" x14ac:dyDescent="0.25">
      <c r="A17" s="18" t="s">
        <v>38</v>
      </c>
      <c r="B17" s="64">
        <v>7239</v>
      </c>
      <c r="C17" s="64">
        <v>7871</v>
      </c>
      <c r="D17" s="78">
        <f t="shared" si="0"/>
        <v>632</v>
      </c>
      <c r="E17" s="81">
        <f t="shared" si="1"/>
        <v>8.7304876364138695E-2</v>
      </c>
      <c r="F17" s="23"/>
      <c r="G17" s="18" t="s">
        <v>38</v>
      </c>
      <c r="H17" s="55">
        <v>532</v>
      </c>
      <c r="I17" s="55">
        <v>624</v>
      </c>
      <c r="J17" s="77">
        <f t="shared" si="2"/>
        <v>92</v>
      </c>
      <c r="K17" s="80">
        <f t="shared" si="3"/>
        <v>0.17293233082706766</v>
      </c>
      <c r="L17" s="119" t="s">
        <v>77</v>
      </c>
    </row>
    <row r="18" spans="1:12" ht="15" x14ac:dyDescent="0.25">
      <c r="A18" s="24" t="s">
        <v>23</v>
      </c>
      <c r="B18" s="64">
        <v>78104</v>
      </c>
      <c r="C18" s="64">
        <v>79148</v>
      </c>
      <c r="D18" s="78">
        <f t="shared" si="0"/>
        <v>1044</v>
      </c>
      <c r="E18" s="81">
        <f t="shared" si="1"/>
        <v>1.3366792993956775E-2</v>
      </c>
      <c r="F18" s="23"/>
      <c r="G18" s="18" t="s">
        <v>23</v>
      </c>
      <c r="H18" s="55">
        <v>3031</v>
      </c>
      <c r="I18" s="55">
        <v>3062</v>
      </c>
      <c r="J18" s="77">
        <f t="shared" si="2"/>
        <v>31</v>
      </c>
      <c r="K18" s="80">
        <f t="shared" si="3"/>
        <v>1.022764764104256E-2</v>
      </c>
      <c r="L18" s="119" t="s">
        <v>88</v>
      </c>
    </row>
    <row r="19" spans="1:12" ht="15.75" customHeight="1" x14ac:dyDescent="0.25">
      <c r="A19" s="24" t="s">
        <v>42</v>
      </c>
      <c r="B19" s="64">
        <f>9535+238</f>
        <v>9773</v>
      </c>
      <c r="C19" s="64">
        <f>9919.5+202</f>
        <v>10121.5</v>
      </c>
      <c r="D19" s="78">
        <f t="shared" si="0"/>
        <v>348.5</v>
      </c>
      <c r="E19" s="81">
        <f t="shared" si="1"/>
        <v>3.5659469968279955E-2</v>
      </c>
      <c r="F19" s="23"/>
      <c r="G19" s="18" t="s">
        <v>42</v>
      </c>
      <c r="H19" s="55">
        <v>932</v>
      </c>
      <c r="I19" s="55">
        <v>1001</v>
      </c>
      <c r="J19" s="77">
        <f t="shared" si="2"/>
        <v>69</v>
      </c>
      <c r="K19" s="80">
        <f t="shared" si="3"/>
        <v>7.4034334763948495E-2</v>
      </c>
      <c r="L19" s="119" t="s">
        <v>89</v>
      </c>
    </row>
    <row r="20" spans="1:12" ht="15" x14ac:dyDescent="0.25">
      <c r="A20" s="24" t="s">
        <v>45</v>
      </c>
      <c r="B20" s="64">
        <v>3</v>
      </c>
      <c r="C20" s="64">
        <v>9</v>
      </c>
      <c r="D20" s="78">
        <f t="shared" si="0"/>
        <v>6</v>
      </c>
      <c r="E20" s="81">
        <f t="shared" si="1"/>
        <v>2</v>
      </c>
      <c r="F20" s="23"/>
      <c r="G20" s="18" t="s">
        <v>72</v>
      </c>
      <c r="H20" s="55">
        <f>182+1</f>
        <v>183</v>
      </c>
      <c r="I20" s="55">
        <f>169+2</f>
        <v>171</v>
      </c>
      <c r="J20" s="152">
        <f t="shared" si="2"/>
        <v>-12</v>
      </c>
      <c r="K20" s="153">
        <f t="shared" si="3"/>
        <v>-6.5573770491803282E-2</v>
      </c>
      <c r="L20" s="119" t="s">
        <v>91</v>
      </c>
    </row>
    <row r="21" spans="1:12" ht="15" customHeight="1" x14ac:dyDescent="0.25">
      <c r="A21" s="24" t="s">
        <v>7</v>
      </c>
      <c r="B21" s="64">
        <v>160</v>
      </c>
      <c r="C21" s="64">
        <v>126</v>
      </c>
      <c r="D21" s="128">
        <f>C21-B21</f>
        <v>-34</v>
      </c>
      <c r="E21" s="83">
        <f t="shared" si="1"/>
        <v>-0.21249999999999999</v>
      </c>
      <c r="F21" s="23"/>
      <c r="G21" s="18" t="s">
        <v>24</v>
      </c>
      <c r="H21" s="55">
        <v>5676</v>
      </c>
      <c r="I21" s="55">
        <v>5293</v>
      </c>
      <c r="J21" s="128">
        <f t="shared" si="2"/>
        <v>-383</v>
      </c>
      <c r="K21" s="83">
        <f t="shared" si="3"/>
        <v>-6.7477096546863985E-2</v>
      </c>
      <c r="L21" s="121" t="s">
        <v>90</v>
      </c>
    </row>
    <row r="22" spans="1:12" ht="15" customHeight="1" x14ac:dyDescent="0.25">
      <c r="A22" s="38" t="s">
        <v>24</v>
      </c>
      <c r="B22" s="64">
        <v>2628</v>
      </c>
      <c r="C22" s="64">
        <v>2571</v>
      </c>
      <c r="D22" s="128">
        <f>C22-B22</f>
        <v>-57</v>
      </c>
      <c r="E22" s="83">
        <f t="shared" ref="E22" si="4">D22/B22</f>
        <v>-2.1689497716894976E-2</v>
      </c>
      <c r="F22" s="107"/>
      <c r="G22" s="127"/>
      <c r="H22" s="55"/>
      <c r="I22" s="55"/>
      <c r="J22" s="76"/>
      <c r="K22" s="79"/>
      <c r="L22" s="122"/>
    </row>
    <row r="23" spans="1:12" ht="15" customHeight="1" x14ac:dyDescent="0.25">
      <c r="A23" s="38" t="s">
        <v>69</v>
      </c>
      <c r="B23" s="123">
        <v>15</v>
      </c>
      <c r="C23" s="124">
        <v>217</v>
      </c>
      <c r="D23" s="78">
        <f t="shared" si="0"/>
        <v>202</v>
      </c>
      <c r="E23" s="81">
        <f>D23/B23</f>
        <v>13.466666666666667</v>
      </c>
      <c r="F23" s="107"/>
      <c r="H23" s="55"/>
      <c r="I23" s="55"/>
      <c r="J23" s="76"/>
      <c r="K23" s="79"/>
      <c r="L23" s="122"/>
    </row>
    <row r="24" spans="1:12" ht="17.25" customHeight="1" x14ac:dyDescent="0.25">
      <c r="A24" s="39" t="s">
        <v>32</v>
      </c>
      <c r="B24" s="65">
        <f>SUM(B4:B23)</f>
        <v>352120.1</v>
      </c>
      <c r="C24" s="65">
        <f>SUM(C4:C23)</f>
        <v>346238</v>
      </c>
      <c r="D24" s="157">
        <f>C24-B24</f>
        <v>-5882.0999999999767</v>
      </c>
      <c r="E24" s="135">
        <f>D24/B24</f>
        <v>-1.6704811795748033E-2</v>
      </c>
      <c r="F24" s="126"/>
      <c r="G24" s="125" t="s">
        <v>73</v>
      </c>
      <c r="H24" s="54">
        <f>SUM(H4:H22)</f>
        <v>28062</v>
      </c>
      <c r="I24" s="54">
        <f>SUM(I4:I22)</f>
        <v>27517</v>
      </c>
      <c r="J24" s="154">
        <f>I24-H24</f>
        <v>-545</v>
      </c>
      <c r="K24" s="155">
        <f>J24/H24</f>
        <v>-1.9421281448221795E-2</v>
      </c>
      <c r="L24" s="73"/>
    </row>
    <row r="25" spans="1:12" ht="14.25" customHeight="1" x14ac:dyDescent="0.25">
      <c r="A25" s="36" t="s">
        <v>15</v>
      </c>
      <c r="B25" s="114">
        <v>17935.5</v>
      </c>
      <c r="C25" s="115">
        <v>17064.5</v>
      </c>
      <c r="D25" s="116">
        <f t="shared" ref="D25" si="5">C25-B25</f>
        <v>-871</v>
      </c>
      <c r="E25" s="117">
        <f t="shared" ref="E25" si="6">D25/B25</f>
        <v>-4.8562905968609738E-2</v>
      </c>
      <c r="F25" s="26"/>
      <c r="G25" s="36" t="s">
        <v>15</v>
      </c>
      <c r="H25" s="67">
        <v>1521</v>
      </c>
      <c r="I25" s="67">
        <v>1431</v>
      </c>
      <c r="J25" s="150">
        <f>I25-H25</f>
        <v>-90</v>
      </c>
      <c r="K25" s="151">
        <f>J25/H25</f>
        <v>-5.9171597633136092E-2</v>
      </c>
      <c r="L25" s="21"/>
    </row>
    <row r="26" spans="1:12" ht="15" x14ac:dyDescent="0.25">
      <c r="A26" s="108" t="s">
        <v>53</v>
      </c>
      <c r="B26" s="49">
        <v>0</v>
      </c>
      <c r="C26" s="49">
        <v>6176</v>
      </c>
      <c r="D26" s="142">
        <f t="shared" ref="D26:D27" si="7">C26-B26</f>
        <v>6176</v>
      </c>
      <c r="E26" s="140" t="s">
        <v>47</v>
      </c>
      <c r="F26" s="107"/>
      <c r="G26" s="108" t="s">
        <v>53</v>
      </c>
      <c r="H26" s="132">
        <v>0</v>
      </c>
      <c r="I26" s="133">
        <v>436</v>
      </c>
      <c r="J26" s="139">
        <f>I26-H26</f>
        <v>436</v>
      </c>
      <c r="K26" s="140" t="s">
        <v>47</v>
      </c>
      <c r="L26" s="35"/>
    </row>
    <row r="27" spans="1:12" ht="18" customHeight="1" thickBot="1" x14ac:dyDescent="0.3">
      <c r="A27" s="103" t="s">
        <v>46</v>
      </c>
      <c r="B27" s="104">
        <f>SUM(B24:B26)</f>
        <v>370055.6</v>
      </c>
      <c r="C27" s="104">
        <f>SUM(C24:C26)</f>
        <v>369478.5</v>
      </c>
      <c r="D27" s="162">
        <f t="shared" si="7"/>
        <v>-577.09999999997672</v>
      </c>
      <c r="E27" s="163">
        <f t="shared" ref="E27" si="8">D27/B27</f>
        <v>-1.5594953839368376E-3</v>
      </c>
      <c r="F27" s="27"/>
      <c r="G27" s="37" t="s">
        <v>46</v>
      </c>
      <c r="H27" s="66">
        <f>SUM(H24:H26)</f>
        <v>29583</v>
      </c>
      <c r="I27" s="66">
        <f>SUM(I24:I26)</f>
        <v>29384</v>
      </c>
      <c r="J27" s="160">
        <f t="shared" si="2"/>
        <v>-199</v>
      </c>
      <c r="K27" s="161">
        <f t="shared" si="3"/>
        <v>-6.7268363587195349E-3</v>
      </c>
      <c r="L27" s="186" t="s">
        <v>51</v>
      </c>
    </row>
    <row r="28" spans="1:12" ht="14.25" customHeight="1" thickTop="1" x14ac:dyDescent="0.2">
      <c r="A28" s="208"/>
      <c r="B28" s="209"/>
      <c r="C28" s="209"/>
      <c r="D28" s="209"/>
      <c r="E28" s="209"/>
      <c r="F28" s="28"/>
      <c r="G28" s="176"/>
      <c r="H28" s="177"/>
      <c r="I28" s="177"/>
      <c r="J28" s="177"/>
      <c r="K28" s="177"/>
      <c r="L28" s="187"/>
    </row>
    <row r="29" spans="1:12" s="13" customFormat="1" ht="13.5" customHeight="1" x14ac:dyDescent="0.2">
      <c r="A29" s="205" t="s">
        <v>10</v>
      </c>
      <c r="B29" s="206"/>
      <c r="C29" s="206"/>
      <c r="D29" s="206"/>
      <c r="E29" s="206"/>
      <c r="F29" s="17"/>
      <c r="G29" s="178"/>
      <c r="H29" s="178"/>
      <c r="I29" s="178"/>
      <c r="J29" s="178"/>
      <c r="K29" s="178"/>
      <c r="L29" s="188"/>
    </row>
    <row r="30" spans="1:12" ht="10.5" customHeight="1" thickBot="1" x14ac:dyDescent="0.25">
      <c r="A30" s="205"/>
      <c r="B30" s="207"/>
      <c r="C30" s="207"/>
      <c r="D30" s="207"/>
      <c r="E30" s="207"/>
      <c r="F30" s="17"/>
      <c r="G30" s="178"/>
      <c r="H30" s="178"/>
      <c r="I30" s="178"/>
      <c r="J30" s="178"/>
      <c r="K30" s="178"/>
      <c r="L30" s="189" t="s">
        <v>54</v>
      </c>
    </row>
    <row r="31" spans="1:12" s="13" customFormat="1" ht="13.5" customHeight="1" thickBot="1" x14ac:dyDescent="0.25">
      <c r="A31" s="85" t="s">
        <v>67</v>
      </c>
      <c r="B31" s="19">
        <v>2017</v>
      </c>
      <c r="C31" s="19">
        <v>2018</v>
      </c>
      <c r="D31" s="101" t="s">
        <v>0</v>
      </c>
      <c r="E31" s="102" t="s">
        <v>1</v>
      </c>
      <c r="F31" s="28"/>
      <c r="G31" s="69" t="s">
        <v>65</v>
      </c>
      <c r="H31" s="19">
        <v>2017</v>
      </c>
      <c r="I31" s="19">
        <v>2018</v>
      </c>
      <c r="J31" s="19" t="s">
        <v>0</v>
      </c>
      <c r="K31" s="20" t="s">
        <v>1</v>
      </c>
      <c r="L31" s="190"/>
    </row>
    <row r="32" spans="1:12" ht="17.25" customHeight="1" x14ac:dyDescent="0.25">
      <c r="A32" s="88" t="s">
        <v>27</v>
      </c>
      <c r="B32" s="100">
        <f>4678+156</f>
        <v>4834</v>
      </c>
      <c r="C32" s="68">
        <f>4307+182</f>
        <v>4489</v>
      </c>
      <c r="D32" s="84">
        <f>C32-B32</f>
        <v>-345</v>
      </c>
      <c r="E32" s="131">
        <f>D32/B32</f>
        <v>-7.1369466280513036E-2</v>
      </c>
      <c r="F32" s="29"/>
      <c r="G32" s="51" t="s">
        <v>8</v>
      </c>
      <c r="H32" s="90">
        <f>4218+4017+3927+5700+114+125+478</f>
        <v>18579</v>
      </c>
      <c r="I32" s="90">
        <f>3847+3767+3868+5658+125+107+384</f>
        <v>17756</v>
      </c>
      <c r="J32" s="128">
        <f>I32-H32</f>
        <v>-823</v>
      </c>
      <c r="K32" s="82">
        <f>J32/H32</f>
        <v>-4.4297324936756553E-2</v>
      </c>
      <c r="L32" s="190"/>
    </row>
    <row r="33" spans="1:12" s="3" customFormat="1" ht="16.5" customHeight="1" thickBot="1" x14ac:dyDescent="0.3">
      <c r="A33" s="89" t="s">
        <v>6</v>
      </c>
      <c r="B33" s="100">
        <v>4319</v>
      </c>
      <c r="C33" s="68">
        <v>4066</v>
      </c>
      <c r="D33" s="84">
        <f t="shared" ref="D33:D35" si="9">C33-B33</f>
        <v>-253</v>
      </c>
      <c r="E33" s="131">
        <f t="shared" ref="E33:E35" si="10">D33/B33</f>
        <v>-5.8578374623755501E-2</v>
      </c>
      <c r="F33" s="29"/>
      <c r="G33" s="24" t="s">
        <v>9</v>
      </c>
      <c r="H33" s="146">
        <v>242548</v>
      </c>
      <c r="I33" s="91">
        <v>234456.5</v>
      </c>
      <c r="J33" s="128">
        <f>I33-H33</f>
        <v>-8091.5</v>
      </c>
      <c r="K33" s="82">
        <f>J33/H33</f>
        <v>-3.3360407012220261E-2</v>
      </c>
      <c r="L33" s="191"/>
    </row>
    <row r="34" spans="1:12" ht="15" customHeight="1" x14ac:dyDescent="0.25">
      <c r="A34" s="89" t="s">
        <v>28</v>
      </c>
      <c r="B34" s="100">
        <v>4180</v>
      </c>
      <c r="C34" s="68">
        <v>4155</v>
      </c>
      <c r="D34" s="84">
        <f t="shared" si="9"/>
        <v>-25</v>
      </c>
      <c r="E34" s="131">
        <f t="shared" si="10"/>
        <v>-5.9808612440191387E-3</v>
      </c>
      <c r="F34" s="29"/>
      <c r="G34" s="52" t="s">
        <v>11</v>
      </c>
      <c r="H34" s="92">
        <f>H32+195+2198+295+209+2896+1</f>
        <v>24373</v>
      </c>
      <c r="I34" s="92">
        <f>I32+197+2201+306+226+3017</f>
        <v>23703</v>
      </c>
      <c r="J34" s="136">
        <f>I34-H34</f>
        <v>-670</v>
      </c>
      <c r="K34" s="137">
        <f>J34/H34</f>
        <v>-2.7489435030566611E-2</v>
      </c>
      <c r="L34" s="167" t="s">
        <v>55</v>
      </c>
    </row>
    <row r="35" spans="1:12" ht="15.75" customHeight="1" thickBot="1" x14ac:dyDescent="0.3">
      <c r="A35" s="89" t="s">
        <v>29</v>
      </c>
      <c r="B35" s="100">
        <v>6043</v>
      </c>
      <c r="C35" s="68">
        <v>6040</v>
      </c>
      <c r="D35" s="84">
        <f t="shared" si="9"/>
        <v>-3</v>
      </c>
      <c r="E35" s="131">
        <f t="shared" si="10"/>
        <v>-4.9644216448783713E-4</v>
      </c>
      <c r="F35" s="29"/>
      <c r="G35" s="53" t="s">
        <v>12</v>
      </c>
      <c r="H35" s="147">
        <v>308555.59999999998</v>
      </c>
      <c r="I35" s="93">
        <v>300590.5</v>
      </c>
      <c r="J35" s="148">
        <f>I35-H35</f>
        <v>-7965.0999999999767</v>
      </c>
      <c r="K35" s="149">
        <f>J35/H35</f>
        <v>-2.5814148244270974E-2</v>
      </c>
      <c r="L35" s="168"/>
    </row>
    <row r="36" spans="1:12" ht="15.75" thickBot="1" x14ac:dyDescent="0.3">
      <c r="A36" s="47" t="s">
        <v>35</v>
      </c>
      <c r="B36" s="54">
        <f>SUM(B32:B35)</f>
        <v>19376</v>
      </c>
      <c r="C36" s="54">
        <f>SUM(C32:C35)</f>
        <v>18750</v>
      </c>
      <c r="D36" s="134">
        <f t="shared" ref="D36:D38" si="11">C36-B36</f>
        <v>-626</v>
      </c>
      <c r="E36" s="135">
        <f t="shared" ref="E36:E38" si="12">D36/B36</f>
        <v>-3.2308009909165977E-2</v>
      </c>
      <c r="F36" s="29"/>
      <c r="G36" s="45"/>
      <c r="H36" s="94"/>
      <c r="I36" s="99"/>
      <c r="J36" s="106"/>
      <c r="K36" s="105"/>
      <c r="L36" s="169"/>
    </row>
    <row r="37" spans="1:12" ht="16.5" customHeight="1" thickBot="1" x14ac:dyDescent="0.3">
      <c r="A37" s="46" t="s">
        <v>31</v>
      </c>
      <c r="B37" s="55">
        <f>125+508</f>
        <v>633</v>
      </c>
      <c r="C37" s="55">
        <f>108+460</f>
        <v>568</v>
      </c>
      <c r="D37" s="84">
        <f t="shared" si="11"/>
        <v>-65</v>
      </c>
      <c r="E37" s="83">
        <f t="shared" si="12"/>
        <v>-0.10268562401263823</v>
      </c>
      <c r="F37" s="29"/>
      <c r="G37" s="70" t="s">
        <v>66</v>
      </c>
      <c r="H37" s="19">
        <v>2017</v>
      </c>
      <c r="I37" s="19">
        <v>2018</v>
      </c>
      <c r="J37" s="71" t="s">
        <v>0</v>
      </c>
      <c r="K37" s="72" t="s">
        <v>1</v>
      </c>
      <c r="L37" s="110" t="s">
        <v>64</v>
      </c>
    </row>
    <row r="38" spans="1:12" ht="15" customHeight="1" x14ac:dyDescent="0.25">
      <c r="A38" s="47" t="s">
        <v>7</v>
      </c>
      <c r="B38" s="54">
        <f>229+4016</f>
        <v>4245</v>
      </c>
      <c r="C38" s="54">
        <f>235+4085</f>
        <v>4320</v>
      </c>
      <c r="D38" s="112">
        <f t="shared" si="11"/>
        <v>75</v>
      </c>
      <c r="E38" s="113">
        <f t="shared" si="12"/>
        <v>1.7667844522968199E-2</v>
      </c>
      <c r="F38" s="29"/>
      <c r="G38" s="42" t="s">
        <v>8</v>
      </c>
      <c r="H38" s="95">
        <f>460+302+253+343+42+30</f>
        <v>1430</v>
      </c>
      <c r="I38" s="95">
        <f>460+299+287+382+57+1+76</f>
        <v>1562</v>
      </c>
      <c r="J38" s="86">
        <f>I38-H38</f>
        <v>132</v>
      </c>
      <c r="K38" s="87">
        <f>J38/H38</f>
        <v>9.2307692307692313E-2</v>
      </c>
      <c r="L38" s="192"/>
    </row>
    <row r="39" spans="1:12" ht="14.25" customHeight="1" x14ac:dyDescent="0.25">
      <c r="A39" s="165" t="s">
        <v>70</v>
      </c>
      <c r="B39" s="54">
        <v>2830</v>
      </c>
      <c r="C39" s="54">
        <v>2862</v>
      </c>
      <c r="D39" s="112">
        <f>C39-B39</f>
        <v>32</v>
      </c>
      <c r="E39" s="113">
        <f>D39/B39</f>
        <v>1.1307420494699646E-2</v>
      </c>
      <c r="F39" s="17"/>
      <c r="G39" s="18" t="s">
        <v>9</v>
      </c>
      <c r="H39" s="91">
        <v>18973</v>
      </c>
      <c r="I39" s="96">
        <v>20822</v>
      </c>
      <c r="J39" s="86">
        <f>I39-H39</f>
        <v>1849</v>
      </c>
      <c r="K39" s="87">
        <f t="shared" ref="K39:K41" si="13">J39/H39</f>
        <v>9.7454277130659364E-2</v>
      </c>
      <c r="L39" s="193"/>
    </row>
    <row r="40" spans="1:12" ht="16.5" customHeight="1" x14ac:dyDescent="0.25">
      <c r="A40" s="47" t="s">
        <v>71</v>
      </c>
      <c r="B40" s="144">
        <v>724</v>
      </c>
      <c r="C40" s="145">
        <v>758</v>
      </c>
      <c r="D40" s="112">
        <f>C40-B40</f>
        <v>34</v>
      </c>
      <c r="E40" s="113">
        <f>D40/B40</f>
        <v>4.6961325966850827E-2</v>
      </c>
      <c r="F40" s="17"/>
      <c r="G40" s="43" t="s">
        <v>13</v>
      </c>
      <c r="H40" s="97">
        <f>H38+34+632+429+45+1119</f>
        <v>3689</v>
      </c>
      <c r="I40" s="97">
        <f>I38+38+661+452+33+1068</f>
        <v>3814</v>
      </c>
      <c r="J40" s="40">
        <f>I40-H40</f>
        <v>125</v>
      </c>
      <c r="K40" s="87">
        <f t="shared" si="13"/>
        <v>3.3884521550555706E-2</v>
      </c>
      <c r="L40" s="193"/>
    </row>
    <row r="41" spans="1:12" ht="15.75" customHeight="1" thickBot="1" x14ac:dyDescent="0.3">
      <c r="A41" s="48" t="s">
        <v>30</v>
      </c>
      <c r="B41" s="143">
        <v>254</v>
      </c>
      <c r="C41" s="143">
        <v>259</v>
      </c>
      <c r="D41" s="129">
        <f>C41-B41</f>
        <v>5</v>
      </c>
      <c r="E41" s="130">
        <f>D41/B41</f>
        <v>1.968503937007874E-2</v>
      </c>
      <c r="F41" s="17"/>
      <c r="G41" s="44" t="s">
        <v>14</v>
      </c>
      <c r="H41" s="93">
        <f>43546.5+18</f>
        <v>43564.5</v>
      </c>
      <c r="I41" s="98">
        <v>45647.5</v>
      </c>
      <c r="J41" s="41">
        <f>I41-H41</f>
        <v>2083</v>
      </c>
      <c r="K41" s="87">
        <f t="shared" si="13"/>
        <v>4.7814160612425258E-2</v>
      </c>
      <c r="L41" s="111"/>
    </row>
    <row r="42" spans="1:12" ht="12" customHeight="1" thickBot="1" x14ac:dyDescent="0.25">
      <c r="A42" s="198" t="s">
        <v>68</v>
      </c>
      <c r="B42" s="198"/>
      <c r="C42" s="198"/>
      <c r="D42" s="198"/>
      <c r="E42" s="198"/>
      <c r="F42" s="17"/>
      <c r="G42" s="5"/>
      <c r="H42" s="9"/>
      <c r="I42" s="9"/>
      <c r="L42" s="138"/>
    </row>
    <row r="43" spans="1:12" ht="13.5" customHeight="1" thickBot="1" x14ac:dyDescent="0.25">
      <c r="A43" s="199"/>
      <c r="B43" s="199"/>
      <c r="C43" s="199"/>
      <c r="D43" s="199"/>
      <c r="E43" s="199"/>
      <c r="F43" s="17"/>
      <c r="G43" s="170" t="s">
        <v>26</v>
      </c>
      <c r="H43" s="171"/>
      <c r="I43" s="171"/>
      <c r="J43" s="19">
        <v>2017</v>
      </c>
      <c r="K43" s="19">
        <v>2018</v>
      </c>
      <c r="L43" s="179"/>
    </row>
    <row r="44" spans="1:12" ht="12.75" customHeight="1" x14ac:dyDescent="0.25">
      <c r="A44" s="199"/>
      <c r="B44" s="199"/>
      <c r="C44" s="199"/>
      <c r="D44" s="199"/>
      <c r="E44" s="199"/>
      <c r="F44" s="30"/>
      <c r="G44" s="196" t="s">
        <v>19</v>
      </c>
      <c r="H44" s="197"/>
      <c r="I44" s="197"/>
      <c r="J44" s="33">
        <f>H38/H24</f>
        <v>5.0958591689829663E-2</v>
      </c>
      <c r="K44" s="34">
        <f>I38/I24</f>
        <v>5.6764908965366866E-2</v>
      </c>
      <c r="L44" s="180"/>
    </row>
    <row r="45" spans="1:12" ht="12.75" customHeight="1" x14ac:dyDescent="0.25">
      <c r="A45" s="199"/>
      <c r="B45" s="199"/>
      <c r="C45" s="199"/>
      <c r="D45" s="199"/>
      <c r="E45" s="199"/>
      <c r="F45" s="30"/>
      <c r="G45" s="194" t="s">
        <v>16</v>
      </c>
      <c r="H45" s="195"/>
      <c r="I45" s="195"/>
      <c r="J45" s="33">
        <f>H39/B24</f>
        <v>5.3882183948033645E-2</v>
      </c>
      <c r="K45" s="11">
        <f>I39/C24</f>
        <v>6.0137824271166075E-2</v>
      </c>
      <c r="L45" s="181"/>
    </row>
    <row r="46" spans="1:12" ht="12" customHeight="1" x14ac:dyDescent="0.25">
      <c r="A46" s="199"/>
      <c r="B46" s="199"/>
      <c r="C46" s="199"/>
      <c r="D46" s="199"/>
      <c r="E46" s="199"/>
      <c r="F46" s="31"/>
      <c r="G46" s="174" t="s">
        <v>17</v>
      </c>
      <c r="H46" s="175"/>
      <c r="I46" s="175"/>
      <c r="J46" s="33">
        <f>H40/H24</f>
        <v>0.1314589124082389</v>
      </c>
      <c r="K46" s="11">
        <f>I40/I24</f>
        <v>0.13860522586037721</v>
      </c>
      <c r="L46" s="182" t="s">
        <v>44</v>
      </c>
    </row>
    <row r="47" spans="1:12" ht="3.75" hidden="1" customHeight="1" x14ac:dyDescent="0.25">
      <c r="A47" s="141"/>
      <c r="B47" s="141"/>
      <c r="C47" s="141"/>
      <c r="D47" s="141"/>
      <c r="E47" s="141"/>
      <c r="F47" s="31"/>
      <c r="G47" s="174" t="s">
        <v>18</v>
      </c>
      <c r="H47" s="175"/>
      <c r="I47" s="175"/>
      <c r="J47" s="33">
        <f t="shared" ref="J47" si="14">H41/H27</f>
        <v>1.4726194097961667</v>
      </c>
      <c r="K47" s="11">
        <f>I41/C24</f>
        <v>0.13183850415032433</v>
      </c>
      <c r="L47" s="183"/>
    </row>
    <row r="48" spans="1:12" ht="15" customHeight="1" thickBot="1" x14ac:dyDescent="0.3">
      <c r="A48" s="32" t="s">
        <v>40</v>
      </c>
      <c r="F48" s="17"/>
      <c r="G48" s="184" t="s">
        <v>18</v>
      </c>
      <c r="H48" s="185"/>
      <c r="I48" s="185"/>
      <c r="J48" s="166">
        <f>H41/B24</f>
        <v>0.12372057147547103</v>
      </c>
      <c r="K48" s="12">
        <f>I41/C24</f>
        <v>0.13183850415032433</v>
      </c>
      <c r="L48" s="183"/>
    </row>
    <row r="49" spans="12:12" x14ac:dyDescent="0.2">
      <c r="L49" s="164" t="s">
        <v>95</v>
      </c>
    </row>
  </sheetData>
  <mergeCells count="21">
    <mergeCell ref="A42:E46"/>
    <mergeCell ref="B1:D1"/>
    <mergeCell ref="A2:C2"/>
    <mergeCell ref="G2:J2"/>
    <mergeCell ref="A29:E29"/>
    <mergeCell ref="A30:E30"/>
    <mergeCell ref="A28:E28"/>
    <mergeCell ref="L34:L36"/>
    <mergeCell ref="G43:I43"/>
    <mergeCell ref="G1:L1"/>
    <mergeCell ref="G46:I46"/>
    <mergeCell ref="G28:K30"/>
    <mergeCell ref="L43:L45"/>
    <mergeCell ref="L46:L48"/>
    <mergeCell ref="G48:I48"/>
    <mergeCell ref="L27:L29"/>
    <mergeCell ref="L30:L33"/>
    <mergeCell ref="L38:L40"/>
    <mergeCell ref="G45:I45"/>
    <mergeCell ref="G44:I44"/>
    <mergeCell ref="G47:I47"/>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E8" sqref="E8"/>
    </sheetView>
  </sheetViews>
  <sheetFormatPr defaultRowHeight="12.75" x14ac:dyDescent="0.2"/>
  <cols>
    <col min="1" max="1" width="15.7109375" customWidth="1"/>
    <col min="2" max="2" width="14.7109375" customWidth="1"/>
    <col min="5" max="5" width="15" customWidth="1"/>
  </cols>
  <sheetData>
    <row r="2" spans="1:6" x14ac:dyDescent="0.2">
      <c r="B2" s="45" t="s">
        <v>60</v>
      </c>
      <c r="C2" s="45" t="s">
        <v>61</v>
      </c>
      <c r="E2" s="45" t="s">
        <v>62</v>
      </c>
      <c r="F2" s="45" t="s">
        <v>63</v>
      </c>
    </row>
    <row r="3" spans="1:6" x14ac:dyDescent="0.2">
      <c r="A3" t="s">
        <v>56</v>
      </c>
      <c r="B3" s="109">
        <f>IF(SUM('Sheet 1'!B4:B23)='Sheet 1'!B24,0,1)</f>
        <v>0</v>
      </c>
      <c r="C3" s="109">
        <f>IF(SUM('Sheet 1'!C4:C23)='Sheet 1'!C24,0,1)</f>
        <v>0</v>
      </c>
      <c r="D3" s="109"/>
      <c r="E3" s="109">
        <f>IF(SUM('Sheet 1'!H4:H22)='Sheet 1'!H24,0,1)</f>
        <v>0</v>
      </c>
      <c r="F3" s="109">
        <f>IF(SUM('Sheet 1'!I4:I22)='Sheet 1'!I24,0,1)</f>
        <v>0</v>
      </c>
    </row>
    <row r="4" spans="1:6" x14ac:dyDescent="0.2">
      <c r="A4" t="s">
        <v>57</v>
      </c>
      <c r="B4" s="109">
        <f>IF((SUM('Sheet 1'!B$24:B$26))=('Sheet 1'!B$27),0,1)</f>
        <v>0</v>
      </c>
      <c r="C4" s="109">
        <f>IF((SUM('Sheet 1'!C$24:C$26))=('Sheet 1'!C$27),0,1)</f>
        <v>0</v>
      </c>
      <c r="D4" s="109"/>
      <c r="E4" s="109">
        <f>IF((SUM('Sheet 1'!H$24:H$26))=('Sheet 1'!H$27),0,1)</f>
        <v>0</v>
      </c>
      <c r="F4" s="109">
        <f>IF((SUM('Sheet 1'!I$24:I$26))=('Sheet 1'!I$27),0,1)</f>
        <v>0</v>
      </c>
    </row>
    <row r="5" spans="1:6" x14ac:dyDescent="0.2">
      <c r="B5" s="109"/>
      <c r="C5" s="109"/>
      <c r="D5" s="109"/>
      <c r="E5" s="109"/>
      <c r="F5" s="109"/>
    </row>
    <row r="6" spans="1:6" x14ac:dyDescent="0.2">
      <c r="A6" t="s">
        <v>58</v>
      </c>
      <c r="B6" s="109"/>
      <c r="C6" s="109"/>
      <c r="D6" s="109"/>
      <c r="E6" s="109">
        <f>IF(SUM('Sheet 1'!B36:B41)='Sheet 1'!H24,0,1)</f>
        <v>0</v>
      </c>
      <c r="F6" s="109">
        <f>IF(SUM('Sheet 1'!C36:C41)='Sheet 1'!I24,0,1)</f>
        <v>0</v>
      </c>
    </row>
    <row r="7" spans="1:6" x14ac:dyDescent="0.2">
      <c r="B7" s="109"/>
      <c r="C7" s="109"/>
      <c r="D7" s="109"/>
      <c r="E7" s="109"/>
      <c r="F7" s="109"/>
    </row>
    <row r="8" spans="1:6" x14ac:dyDescent="0.2">
      <c r="A8" t="s">
        <v>59</v>
      </c>
      <c r="B8" s="109">
        <f>IF(SUM('Sheet 1'!H35,'Sheet 1'!H41)='Sheet 1'!B24,0,1)</f>
        <v>0</v>
      </c>
      <c r="C8" s="109">
        <f>IF(SUM('Sheet 1'!I35,'Sheet 1'!I41)='Sheet 1'!C24,0,1)</f>
        <v>0</v>
      </c>
      <c r="D8" s="109"/>
      <c r="E8" s="109">
        <f>IF(SUM('Sheet 1'!H34,'Sheet 1'!H40)='Sheet 1'!H24,0,1)</f>
        <v>0</v>
      </c>
      <c r="F8" s="109">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 1</vt:lpstr>
      <vt:lpstr>Chk</vt:lpstr>
      <vt:lpstr>'Sheet 1'!Print_Area</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2018-08-13T17:53:36Z</cp:lastPrinted>
  <dcterms:created xsi:type="dcterms:W3CDTF">2005-01-11T16:04:59Z</dcterms:created>
  <dcterms:modified xsi:type="dcterms:W3CDTF">2018-08-20T22:49:06Z</dcterms:modified>
</cp:coreProperties>
</file>